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orge Ribeiro\Desktop\"/>
    </mc:Choice>
  </mc:AlternateContent>
  <bookViews>
    <workbookView xWindow="0" yWindow="0" windowWidth="14745" windowHeight="8190"/>
  </bookViews>
  <sheets>
    <sheet name="Folh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31" i="1" l="1"/>
  <c r="M32" i="1"/>
  <c r="M33" i="1"/>
  <c r="M34" i="1"/>
  <c r="M35" i="1"/>
  <c r="M36" i="1"/>
  <c r="M30" i="1"/>
  <c r="M39" i="1"/>
  <c r="M40" i="1"/>
  <c r="M41" i="1"/>
  <c r="M42" i="1"/>
  <c r="M43" i="1"/>
  <c r="M44" i="1"/>
  <c r="M45" i="1"/>
  <c r="M46" i="1"/>
  <c r="M47" i="1"/>
  <c r="M48" i="1"/>
  <c r="M38" i="1"/>
  <c r="L33" i="1"/>
  <c r="I13" i="1"/>
  <c r="I11" i="1"/>
  <c r="J11" i="1" s="1"/>
  <c r="K11" i="1" s="1"/>
  <c r="I2" i="1"/>
  <c r="J2" i="1" s="1"/>
  <c r="K2" i="1" s="1"/>
  <c r="I12" i="1"/>
  <c r="I7" i="1"/>
  <c r="J7" i="1" s="1"/>
  <c r="K7" i="1" s="1"/>
  <c r="I5" i="1"/>
  <c r="J5" i="1" s="1"/>
  <c r="K5" i="1" s="1"/>
  <c r="I16" i="1"/>
  <c r="J16" i="1" s="1"/>
  <c r="K16" i="1" s="1"/>
  <c r="I6" i="1"/>
  <c r="L25" i="1"/>
  <c r="G2" i="1"/>
  <c r="G5" i="1"/>
  <c r="L48" i="1" s="1"/>
  <c r="G7" i="1"/>
  <c r="G11" i="1"/>
  <c r="G6" i="1"/>
  <c r="L45" i="1" s="1"/>
  <c r="I8" i="1"/>
  <c r="I9" i="1"/>
  <c r="J9" i="1" s="1"/>
  <c r="K9" i="1" s="1"/>
  <c r="G9" i="1"/>
  <c r="L40" i="1" s="1"/>
  <c r="G4" i="1"/>
  <c r="L41" i="1" s="1"/>
  <c r="I4" i="1"/>
  <c r="J4" i="1" s="1"/>
  <c r="K4" i="1" s="1"/>
  <c r="I3" i="1"/>
  <c r="I14" i="1"/>
  <c r="I18" i="1"/>
  <c r="J18" i="1" s="1"/>
  <c r="K18" i="1" s="1"/>
  <c r="I17" i="1"/>
  <c r="J17" i="1" s="1"/>
  <c r="K17" i="1" s="1"/>
  <c r="I20" i="1"/>
  <c r="J20" i="1" s="1"/>
  <c r="K20" i="1" s="1"/>
  <c r="I10" i="1"/>
  <c r="J10" i="1" s="1"/>
  <c r="K10" i="1" s="1"/>
  <c r="I19" i="1"/>
  <c r="J19" i="1" s="1"/>
  <c r="K19" i="1" s="1"/>
  <c r="I15" i="1"/>
  <c r="I21" i="1"/>
  <c r="G19" i="1"/>
  <c r="G10" i="1"/>
  <c r="L36" i="1" s="1"/>
  <c r="G20" i="1"/>
  <c r="G17" i="1"/>
  <c r="G18" i="1"/>
  <c r="G16" i="1"/>
  <c r="L42" i="1" l="1"/>
  <c r="L31" i="1"/>
  <c r="J6" i="1"/>
  <c r="K6" i="1" s="1"/>
  <c r="L6" i="1" s="1"/>
  <c r="L7" i="1"/>
  <c r="L26" i="1"/>
  <c r="L27" i="1" s="1"/>
  <c r="L28" i="1" s="1"/>
  <c r="L11" i="1"/>
  <c r="L4" i="1"/>
  <c r="L5" i="1"/>
  <c r="L2" i="1"/>
  <c r="L9" i="1"/>
  <c r="L16" i="1"/>
  <c r="L18" i="1"/>
  <c r="L17" i="1"/>
  <c r="L20" i="1"/>
  <c r="L10" i="1"/>
  <c r="L19" i="1"/>
  <c r="J12" i="1"/>
  <c r="K12" i="1" s="1"/>
  <c r="J8" i="1"/>
  <c r="K8" i="1" s="1"/>
  <c r="J21" i="1"/>
  <c r="K21" i="1" s="1"/>
  <c r="G14" i="1"/>
  <c r="L46" i="1" s="1"/>
  <c r="G12" i="1"/>
  <c r="L44" i="1" s="1"/>
  <c r="G13" i="1"/>
  <c r="L43" i="1" s="1"/>
  <c r="G15" i="1"/>
  <c r="G3" i="1"/>
  <c r="L39" i="1" s="1"/>
  <c r="G8" i="1"/>
  <c r="G21" i="1"/>
  <c r="L35" i="1" s="1"/>
  <c r="J15" i="1"/>
  <c r="K15" i="1" s="1"/>
  <c r="J14" i="1"/>
  <c r="L34" i="1" l="1"/>
  <c r="L38" i="1"/>
  <c r="L32" i="1"/>
  <c r="L47" i="1"/>
  <c r="L30" i="1"/>
  <c r="L12" i="1"/>
  <c r="L8" i="1"/>
  <c r="L15" i="1"/>
  <c r="L21" i="1"/>
  <c r="J3" i="1"/>
  <c r="K3" i="1" s="1"/>
  <c r="L3" i="1" s="1"/>
  <c r="I22" i="1"/>
  <c r="K14" i="1"/>
  <c r="L14" i="1" s="1"/>
  <c r="J13" i="1"/>
  <c r="K13" i="1" s="1"/>
  <c r="L13" i="1" s="1"/>
  <c r="G22" i="1"/>
  <c r="I23" i="1" l="1"/>
  <c r="J22" i="1"/>
  <c r="K22" i="1" s="1"/>
  <c r="L22" i="1" l="1"/>
  <c r="K23" i="1"/>
  <c r="L23" i="1" s="1"/>
</calcChain>
</file>

<file path=xl/sharedStrings.xml><?xml version="1.0" encoding="utf-8"?>
<sst xmlns="http://schemas.openxmlformats.org/spreadsheetml/2006/main" count="136" uniqueCount="97">
  <si>
    <t>Ticker</t>
  </si>
  <si>
    <t>Empresa</t>
  </si>
  <si>
    <t>País</t>
  </si>
  <si>
    <t>Setor</t>
  </si>
  <si>
    <t>Preço XTB EUR</t>
  </si>
  <si>
    <t>Dividendo Anual EUR</t>
  </si>
  <si>
    <t>Ações</t>
  </si>
  <si>
    <t>Investimento</t>
  </si>
  <si>
    <t>IRS</t>
  </si>
  <si>
    <t>Dividendo Anual Líq</t>
  </si>
  <si>
    <t>Yield Líquido</t>
  </si>
  <si>
    <t>Estados Unidos América</t>
  </si>
  <si>
    <t>Energia</t>
  </si>
  <si>
    <t>Dividendo Anual</t>
  </si>
  <si>
    <t>Finanças</t>
  </si>
  <si>
    <t>França</t>
  </si>
  <si>
    <t>Consumo</t>
  </si>
  <si>
    <t>Vale S.A.</t>
  </si>
  <si>
    <t>VALE</t>
  </si>
  <si>
    <t>Brasil</t>
  </si>
  <si>
    <t>Materiais</t>
  </si>
  <si>
    <t>Reino Unido</t>
  </si>
  <si>
    <t>TOTAIS</t>
  </si>
  <si>
    <t>OCI</t>
  </si>
  <si>
    <t>OCI N.V.</t>
  </si>
  <si>
    <t>4,35 EUR</t>
  </si>
  <si>
    <t>Países Baixos</t>
  </si>
  <si>
    <t>Comunicações</t>
  </si>
  <si>
    <t>FS KKR Capital Corp.</t>
  </si>
  <si>
    <t>FSK</t>
  </si>
  <si>
    <t>WBA</t>
  </si>
  <si>
    <t>Saúde</t>
  </si>
  <si>
    <t>Walgreens Boots Alliance, Inc.</t>
  </si>
  <si>
    <t>1,00 USD</t>
  </si>
  <si>
    <t>2,80 USD</t>
  </si>
  <si>
    <t>REIT</t>
  </si>
  <si>
    <t>1,44 USD</t>
  </si>
  <si>
    <t>AGNC</t>
  </si>
  <si>
    <t>AGNC Investment Corp.</t>
  </si>
  <si>
    <t>2,20 USD</t>
  </si>
  <si>
    <t>Oaktree Specialty Lending Corporation</t>
  </si>
  <si>
    <t>OCSL</t>
  </si>
  <si>
    <t>Prospect Capital Corporation</t>
  </si>
  <si>
    <t>PSEC</t>
  </si>
  <si>
    <t>0,72 USD</t>
  </si>
  <si>
    <t>Annaly Capital Management, Inc.</t>
  </si>
  <si>
    <t>MLY</t>
  </si>
  <si>
    <t>2,60 USD</t>
  </si>
  <si>
    <t>4,67 NOK</t>
  </si>
  <si>
    <t>Vår Energi AS</t>
  </si>
  <si>
    <t>VAR</t>
  </si>
  <si>
    <t>Noruega</t>
  </si>
  <si>
    <t>2,18 USD</t>
  </si>
  <si>
    <t>Blackstone Mortgage Trust, Inc.</t>
  </si>
  <si>
    <t>BXMT</t>
  </si>
  <si>
    <t>Espanha</t>
  </si>
  <si>
    <t>Enagás, S.A.</t>
  </si>
  <si>
    <t>ENG</t>
  </si>
  <si>
    <t>1,73 EUR</t>
  </si>
  <si>
    <t>SDX</t>
  </si>
  <si>
    <t>Stellantis N.V.</t>
  </si>
  <si>
    <t>1,55 EUR</t>
  </si>
  <si>
    <t>2,95 EUR</t>
  </si>
  <si>
    <t>Austria</t>
  </si>
  <si>
    <t>OMV</t>
  </si>
  <si>
    <t>OMV Aktiengesellschaft</t>
  </si>
  <si>
    <t>1.20 USD</t>
  </si>
  <si>
    <t>Bermuda</t>
  </si>
  <si>
    <t>FLEX LNG Ltd.</t>
  </si>
  <si>
    <t>FLNG</t>
  </si>
  <si>
    <t>3,00 USD</t>
  </si>
  <si>
    <t>Metro AG</t>
  </si>
  <si>
    <t>Alemanha</t>
  </si>
  <si>
    <t>0,55 EUR</t>
  </si>
  <si>
    <t>B4B</t>
  </si>
  <si>
    <t>Frontline plc</t>
  </si>
  <si>
    <t>FRO</t>
  </si>
  <si>
    <t>Chipre</t>
  </si>
  <si>
    <t>2,48 USD</t>
  </si>
  <si>
    <t>0,54 GBP</t>
  </si>
  <si>
    <t>Phoenix Group Holdings plc</t>
  </si>
  <si>
    <t>PHNX</t>
  </si>
  <si>
    <t>PennyMac Mortgage Investment Trust</t>
  </si>
  <si>
    <t>PMT</t>
  </si>
  <si>
    <t>1,60 USD</t>
  </si>
  <si>
    <t>Arbor Realty Trust, Inc.</t>
  </si>
  <si>
    <t>ABR</t>
  </si>
  <si>
    <t>1,72 USD</t>
  </si>
  <si>
    <t>SES S.A.</t>
  </si>
  <si>
    <t>SESG</t>
  </si>
  <si>
    <t>0,5 EUR</t>
  </si>
  <si>
    <t>OMN (820€ x 14 meses)</t>
  </si>
  <si>
    <t>Desconto 11% Seg Scial</t>
  </si>
  <si>
    <t>OMN Líquido anual</t>
  </si>
  <si>
    <t>OMN Líquido mensal</t>
  </si>
  <si>
    <t>por mês</t>
  </si>
  <si>
    <t>Estados Unidos da América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</si>
</sst>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€&quot;_-;\-* #,##0.00\ &quot;€&quot;_-;_-* &quot;-&quot;??\ &quot;€&quot;_-;_-@_-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i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8" tint="0.79998168889431442"/>
      <name val="Calibri"/>
      <family val="2"/>
      <scheme val="minor"/>
    </font>
    <font>
      <sz val="11"/>
      <color theme="8" tint="0.79998168889431442"/>
      <name val="Calibri"/>
      <family val="2"/>
      <scheme val="minor"/>
    </font>
    <font>
      <b/>
      <sz val="11"/>
      <color rgb="FF006100"/>
      <name val="Calibri"/>
      <family val="2"/>
      <scheme val="minor"/>
    </font>
    <font>
      <b/>
      <sz val="11"/>
      <color rgb="FF3F3F76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58000A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</borders>
  <cellStyleXfs count="11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4" fillId="4" borderId="1" applyNumberFormat="0" applyAlignment="0" applyProtection="0"/>
    <xf numFmtId="0" fontId="5" fillId="5" borderId="2" applyNumberFormat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7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9" fontId="1" fillId="0" borderId="0" applyFont="0" applyFill="0" applyBorder="0" applyAlignment="0" applyProtection="0"/>
  </cellStyleXfs>
  <cellXfs count="58">
    <xf numFmtId="0" fontId="0" fillId="0" borderId="0" xfId="0"/>
    <xf numFmtId="44" fontId="7" fillId="8" borderId="3" xfId="7" applyNumberFormat="1" applyBorder="1"/>
    <xf numFmtId="0" fontId="0" fillId="0" borderId="0" xfId="0" applyFill="1"/>
    <xf numFmtId="0" fontId="6" fillId="0" borderId="0" xfId="0" applyFont="1" applyFill="1" applyBorder="1" applyAlignment="1">
      <alignment horizontal="right"/>
    </xf>
    <xf numFmtId="0" fontId="6" fillId="0" borderId="5" xfId="0" applyFont="1" applyFill="1" applyBorder="1" applyAlignment="1">
      <alignment horizontal="right"/>
    </xf>
    <xf numFmtId="44" fontId="0" fillId="0" borderId="0" xfId="0" applyNumberFormat="1"/>
    <xf numFmtId="10" fontId="13" fillId="0" borderId="0" xfId="1" applyNumberFormat="1" applyFont="1" applyFill="1" applyBorder="1" applyAlignment="1">
      <alignment horizontal="center"/>
    </xf>
    <xf numFmtId="0" fontId="12" fillId="0" borderId="0" xfId="0" applyFont="1" applyFill="1" applyBorder="1"/>
    <xf numFmtId="0" fontId="14" fillId="0" borderId="0" xfId="3" applyFont="1" applyFill="1" applyBorder="1" applyAlignment="1"/>
    <xf numFmtId="0" fontId="12" fillId="0" borderId="0" xfId="6" applyFont="1" applyFill="1" applyBorder="1"/>
    <xf numFmtId="44" fontId="12" fillId="0" borderId="0" xfId="6" applyNumberFormat="1" applyFont="1" applyFill="1" applyBorder="1"/>
    <xf numFmtId="0" fontId="12" fillId="0" borderId="0" xfId="7" applyFont="1" applyFill="1" applyBorder="1"/>
    <xf numFmtId="44" fontId="12" fillId="0" borderId="0" xfId="7" applyNumberFormat="1" applyFont="1" applyFill="1" applyBorder="1"/>
    <xf numFmtId="0" fontId="12" fillId="0" borderId="0" xfId="9" applyFont="1" applyFill="1" applyBorder="1"/>
    <xf numFmtId="44" fontId="12" fillId="0" borderId="0" xfId="9" applyNumberFormat="1" applyFont="1" applyFill="1" applyBorder="1"/>
    <xf numFmtId="0" fontId="17" fillId="11" borderId="3" xfId="2" applyFont="1" applyFill="1" applyBorder="1" applyAlignment="1">
      <alignment horizontal="center"/>
    </xf>
    <xf numFmtId="44" fontId="18" fillId="11" borderId="3" xfId="2" applyNumberFormat="1" applyFont="1" applyFill="1" applyBorder="1"/>
    <xf numFmtId="44" fontId="18" fillId="11" borderId="4" xfId="2" applyNumberFormat="1" applyFont="1" applyFill="1" applyBorder="1"/>
    <xf numFmtId="44" fontId="18" fillId="11" borderId="2" xfId="2" applyNumberFormat="1" applyFont="1" applyFill="1" applyBorder="1"/>
    <xf numFmtId="44" fontId="19" fillId="2" borderId="3" xfId="1" applyNumberFormat="1" applyFont="1" applyBorder="1"/>
    <xf numFmtId="10" fontId="19" fillId="2" borderId="3" xfId="1" applyNumberFormat="1" applyFont="1" applyBorder="1" applyAlignment="1">
      <alignment horizontal="center"/>
    </xf>
    <xf numFmtId="0" fontId="19" fillId="2" borderId="3" xfId="1" applyFont="1" applyBorder="1"/>
    <xf numFmtId="44" fontId="4" fillId="4" borderId="1" xfId="3" applyNumberFormat="1"/>
    <xf numFmtId="0" fontId="11" fillId="8" borderId="3" xfId="7" applyFont="1" applyBorder="1"/>
    <xf numFmtId="0" fontId="15" fillId="12" borderId="3" xfId="8" applyFont="1" applyFill="1" applyBorder="1" applyAlignment="1">
      <alignment horizontal="center"/>
    </xf>
    <xf numFmtId="0" fontId="8" fillId="12" borderId="3" xfId="8" applyFont="1" applyFill="1" applyBorder="1" applyAlignment="1">
      <alignment horizontal="center"/>
    </xf>
    <xf numFmtId="44" fontId="8" fillId="12" borderId="3" xfId="8" applyNumberFormat="1" applyFont="1" applyFill="1" applyBorder="1"/>
    <xf numFmtId="0" fontId="1" fillId="12" borderId="3" xfId="6" applyFill="1" applyBorder="1" applyAlignment="1">
      <alignment horizontal="center"/>
    </xf>
    <xf numFmtId="44" fontId="8" fillId="12" borderId="3" xfId="3" applyNumberFormat="1" applyFont="1" applyFill="1" applyBorder="1"/>
    <xf numFmtId="0" fontId="16" fillId="12" borderId="3" xfId="6" applyFont="1" applyFill="1" applyBorder="1" applyAlignment="1">
      <alignment horizontal="center"/>
    </xf>
    <xf numFmtId="0" fontId="0" fillId="12" borderId="3" xfId="6" applyFont="1" applyFill="1" applyBorder="1" applyAlignment="1">
      <alignment horizontal="center"/>
    </xf>
    <xf numFmtId="44" fontId="1" fillId="12" borderId="3" xfId="6" applyNumberFormat="1" applyFill="1" applyBorder="1"/>
    <xf numFmtId="0" fontId="15" fillId="12" borderId="3" xfId="9" applyFont="1" applyFill="1" applyBorder="1" applyAlignment="1">
      <alignment horizontal="center"/>
    </xf>
    <xf numFmtId="0" fontId="8" fillId="12" borderId="3" xfId="9" applyFont="1" applyFill="1" applyBorder="1" applyAlignment="1">
      <alignment horizontal="center"/>
    </xf>
    <xf numFmtId="44" fontId="8" fillId="12" borderId="3" xfId="9" applyNumberFormat="1" applyFont="1" applyFill="1" applyBorder="1"/>
    <xf numFmtId="0" fontId="15" fillId="12" borderId="3" xfId="3" applyFont="1" applyFill="1" applyBorder="1" applyAlignment="1">
      <alignment horizontal="center"/>
    </xf>
    <xf numFmtId="0" fontId="8" fillId="12" borderId="3" xfId="3" applyFont="1" applyFill="1" applyBorder="1" applyAlignment="1">
      <alignment horizontal="center"/>
    </xf>
    <xf numFmtId="0" fontId="15" fillId="12" borderId="4" xfId="8" applyFont="1" applyFill="1" applyBorder="1" applyAlignment="1">
      <alignment horizontal="center"/>
    </xf>
    <xf numFmtId="0" fontId="8" fillId="12" borderId="4" xfId="8" applyFont="1" applyFill="1" applyBorder="1" applyAlignment="1">
      <alignment horizontal="center"/>
    </xf>
    <xf numFmtId="44" fontId="8" fillId="12" borderId="4" xfId="8" applyNumberFormat="1" applyFont="1" applyFill="1" applyBorder="1"/>
    <xf numFmtId="0" fontId="15" fillId="12" borderId="3" xfId="6" applyFont="1" applyFill="1" applyBorder="1" applyAlignment="1">
      <alignment horizontal="center"/>
    </xf>
    <xf numFmtId="0" fontId="8" fillId="12" borderId="3" xfId="6" applyFont="1" applyFill="1" applyBorder="1" applyAlignment="1">
      <alignment horizontal="center"/>
    </xf>
    <xf numFmtId="44" fontId="8" fillId="12" borderId="3" xfId="6" applyNumberFormat="1" applyFont="1" applyFill="1" applyBorder="1"/>
    <xf numFmtId="10" fontId="8" fillId="12" borderId="3" xfId="8" applyNumberFormat="1" applyFont="1" applyFill="1" applyBorder="1" applyAlignment="1">
      <alignment horizontal="center"/>
    </xf>
    <xf numFmtId="10" fontId="1" fillId="12" borderId="3" xfId="6" applyNumberFormat="1" applyFill="1" applyBorder="1" applyAlignment="1">
      <alignment horizontal="center"/>
    </xf>
    <xf numFmtId="10" fontId="8" fillId="12" borderId="3" xfId="9" applyNumberFormat="1" applyFont="1" applyFill="1" applyBorder="1" applyAlignment="1">
      <alignment horizontal="center"/>
    </xf>
    <xf numFmtId="10" fontId="8" fillId="12" borderId="3" xfId="3" applyNumberFormat="1" applyFont="1" applyFill="1" applyBorder="1" applyAlignment="1">
      <alignment horizontal="center"/>
    </xf>
    <xf numFmtId="10" fontId="8" fillId="12" borderId="4" xfId="8" applyNumberFormat="1" applyFont="1" applyFill="1" applyBorder="1" applyAlignment="1">
      <alignment horizontal="center"/>
    </xf>
    <xf numFmtId="44" fontId="9" fillId="12" borderId="6" xfId="4" applyNumberFormat="1" applyFont="1" applyFill="1" applyBorder="1"/>
    <xf numFmtId="10" fontId="10" fillId="12" borderId="6" xfId="1" applyNumberFormat="1" applyFont="1" applyFill="1" applyBorder="1" applyAlignment="1">
      <alignment horizontal="center"/>
    </xf>
    <xf numFmtId="44" fontId="19" fillId="2" borderId="2" xfId="1" applyNumberFormat="1" applyFont="1" applyBorder="1"/>
    <xf numFmtId="44" fontId="19" fillId="2" borderId="6" xfId="1" applyNumberFormat="1" applyFont="1" applyBorder="1"/>
    <xf numFmtId="0" fontId="6" fillId="13" borderId="3" xfId="5" applyFont="1" applyFill="1" applyBorder="1" applyAlignment="1">
      <alignment horizontal="center"/>
    </xf>
    <xf numFmtId="0" fontId="20" fillId="4" borderId="1" xfId="3" applyFont="1" applyAlignment="1">
      <alignment horizontal="center"/>
    </xf>
    <xf numFmtId="44" fontId="20" fillId="4" borderId="1" xfId="3" applyNumberFormat="1" applyFont="1" applyAlignment="1">
      <alignment horizontal="center"/>
    </xf>
    <xf numFmtId="0" fontId="20" fillId="4" borderId="1" xfId="3" applyFont="1"/>
    <xf numFmtId="9" fontId="4" fillId="4" borderId="1" xfId="3" applyNumberFormat="1" applyAlignment="1">
      <alignment horizontal="center"/>
    </xf>
    <xf numFmtId="9" fontId="4" fillId="4" borderId="1" xfId="10" applyFont="1" applyFill="1" applyBorder="1" applyAlignment="1">
      <alignment horizontal="center"/>
    </xf>
  </cellXfs>
  <cellStyles count="11">
    <cellStyle name="40% - Cor3" xfId="5" builtinId="39"/>
    <cellStyle name="40% - Cor4" xfId="6" builtinId="43"/>
    <cellStyle name="40% - Cor5" xfId="8" builtinId="47"/>
    <cellStyle name="40% - Cor6" xfId="9" builtinId="51"/>
    <cellStyle name="Cor5" xfId="7" builtinId="45"/>
    <cellStyle name="Correto" xfId="1" builtinId="26"/>
    <cellStyle name="Entrada" xfId="3" builtinId="20"/>
    <cellStyle name="Incorreto" xfId="2" builtinId="27"/>
    <cellStyle name="Normal" xfId="0" builtinId="0"/>
    <cellStyle name="Percentagem" xfId="10" builtinId="5"/>
    <cellStyle name="Saída" xfId="4" builtinId="21"/>
  </cellStyles>
  <dxfs count="0"/>
  <tableStyles count="0" defaultTableStyle="TableStyleMedium2" defaultPivotStyle="PivotStyleLight16"/>
  <colors>
    <mruColors>
      <color rgb="FF58000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P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t-PT"/>
              <a:t>Investimento por empresa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PT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cat>
            <c:strRef>
              <c:f>Folha1!$B$2:$B$21</c:f>
              <c:strCache>
                <c:ptCount val="20"/>
                <c:pt idx="0">
                  <c:v>Frontline plc</c:v>
                </c:pt>
                <c:pt idx="1">
                  <c:v>OMV Aktiengesellschaft</c:v>
                </c:pt>
                <c:pt idx="2">
                  <c:v>Vale S.A.</c:v>
                </c:pt>
                <c:pt idx="3">
                  <c:v>Phoenix Group Holdings plc</c:v>
                </c:pt>
                <c:pt idx="4">
                  <c:v>SES S.A.</c:v>
                </c:pt>
                <c:pt idx="5">
                  <c:v>PennyMac Mortgage Investment Trust</c:v>
                </c:pt>
                <c:pt idx="6">
                  <c:v>Metro AG</c:v>
                </c:pt>
                <c:pt idx="7">
                  <c:v>FLEX LNG Ltd.</c:v>
                </c:pt>
                <c:pt idx="8">
                  <c:v>Walgreens Boots Alliance, Inc.</c:v>
                </c:pt>
                <c:pt idx="9">
                  <c:v>Arbor Realty Trust, Inc.</c:v>
                </c:pt>
                <c:pt idx="10">
                  <c:v>Blackstone Mortgage Trust, Inc.</c:v>
                </c:pt>
                <c:pt idx="11">
                  <c:v>Enagás, S.A.</c:v>
                </c:pt>
                <c:pt idx="12">
                  <c:v>Vår Energi AS</c:v>
                </c:pt>
                <c:pt idx="13">
                  <c:v>Stellantis N.V.</c:v>
                </c:pt>
                <c:pt idx="14">
                  <c:v>Annaly Capital Management, Inc.</c:v>
                </c:pt>
                <c:pt idx="15">
                  <c:v>Oaktree Specialty Lending Corporation</c:v>
                </c:pt>
                <c:pt idx="16">
                  <c:v>Prospect Capital Corporation</c:v>
                </c:pt>
                <c:pt idx="17">
                  <c:v>FS KKR Capital Corp.</c:v>
                </c:pt>
                <c:pt idx="18">
                  <c:v>AGNC Investment Corp.</c:v>
                </c:pt>
                <c:pt idx="19">
                  <c:v>OCI N.V.</c:v>
                </c:pt>
              </c:strCache>
            </c:strRef>
          </c:cat>
          <c:val>
            <c:numRef>
              <c:f>Folha1!$G$2:$G$21</c:f>
              <c:numCache>
                <c:formatCode>_("€"* #,##0.00_);_("€"* \(#,##0.00\);_("€"* "-"??_);_(@_)</c:formatCode>
                <c:ptCount val="20"/>
                <c:pt idx="0">
                  <c:v>4530</c:v>
                </c:pt>
                <c:pt idx="1">
                  <c:v>6968.0000000000009</c:v>
                </c:pt>
                <c:pt idx="2">
                  <c:v>5250</c:v>
                </c:pt>
                <c:pt idx="3">
                  <c:v>5607</c:v>
                </c:pt>
                <c:pt idx="4">
                  <c:v>3608</c:v>
                </c:pt>
                <c:pt idx="5">
                  <c:v>5240</c:v>
                </c:pt>
                <c:pt idx="6">
                  <c:v>4910</c:v>
                </c:pt>
                <c:pt idx="7">
                  <c:v>4842</c:v>
                </c:pt>
                <c:pt idx="8">
                  <c:v>6000</c:v>
                </c:pt>
                <c:pt idx="9">
                  <c:v>5488</c:v>
                </c:pt>
                <c:pt idx="10">
                  <c:v>6636</c:v>
                </c:pt>
                <c:pt idx="11">
                  <c:v>5432</c:v>
                </c:pt>
                <c:pt idx="12">
                  <c:v>3120</c:v>
                </c:pt>
                <c:pt idx="13">
                  <c:v>6065</c:v>
                </c:pt>
                <c:pt idx="14">
                  <c:v>7195.9999999999991</c:v>
                </c:pt>
                <c:pt idx="15">
                  <c:v>7505</c:v>
                </c:pt>
                <c:pt idx="16">
                  <c:v>4820</c:v>
                </c:pt>
                <c:pt idx="17">
                  <c:v>7388</c:v>
                </c:pt>
                <c:pt idx="18">
                  <c:v>7568.0000000000009</c:v>
                </c:pt>
                <c:pt idx="19">
                  <c:v>7902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841411392"/>
        <c:axId val="1841407040"/>
        <c:axId val="0"/>
      </c:bar3DChart>
      <c:catAx>
        <c:axId val="1841411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PT"/>
          </a:p>
        </c:txPr>
        <c:crossAx val="1841407040"/>
        <c:crosses val="autoZero"/>
        <c:auto val="1"/>
        <c:lblAlgn val="ctr"/>
        <c:lblOffset val="100"/>
        <c:noMultiLvlLbl val="0"/>
      </c:catAx>
      <c:valAx>
        <c:axId val="18414070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€&quot;* #,##0.00_);_(&quot;€&quot;* \(#,##0.00\);_(&quot;€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PT"/>
          </a:p>
        </c:txPr>
        <c:crossAx val="18414113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PT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P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t-PT"/>
              <a:t>Dividendo Anual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PT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Folha1!$B$2:$B$21</c:f>
              <c:strCache>
                <c:ptCount val="20"/>
                <c:pt idx="0">
                  <c:v>Frontline plc</c:v>
                </c:pt>
                <c:pt idx="1">
                  <c:v>OMV Aktiengesellschaft</c:v>
                </c:pt>
                <c:pt idx="2">
                  <c:v>Vale S.A.</c:v>
                </c:pt>
                <c:pt idx="3">
                  <c:v>Phoenix Group Holdings plc</c:v>
                </c:pt>
                <c:pt idx="4">
                  <c:v>SES S.A.</c:v>
                </c:pt>
                <c:pt idx="5">
                  <c:v>PennyMac Mortgage Investment Trust</c:v>
                </c:pt>
                <c:pt idx="6">
                  <c:v>Metro AG</c:v>
                </c:pt>
                <c:pt idx="7">
                  <c:v>FLEX LNG Ltd.</c:v>
                </c:pt>
                <c:pt idx="8">
                  <c:v>Walgreens Boots Alliance, Inc.</c:v>
                </c:pt>
                <c:pt idx="9">
                  <c:v>Arbor Realty Trust, Inc.</c:v>
                </c:pt>
                <c:pt idx="10">
                  <c:v>Blackstone Mortgage Trust, Inc.</c:v>
                </c:pt>
                <c:pt idx="11">
                  <c:v>Enagás, S.A.</c:v>
                </c:pt>
                <c:pt idx="12">
                  <c:v>Vår Energi AS</c:v>
                </c:pt>
                <c:pt idx="13">
                  <c:v>Stellantis N.V.</c:v>
                </c:pt>
                <c:pt idx="14">
                  <c:v>Annaly Capital Management, Inc.</c:v>
                </c:pt>
                <c:pt idx="15">
                  <c:v>Oaktree Specialty Lending Corporation</c:v>
                </c:pt>
                <c:pt idx="16">
                  <c:v>Prospect Capital Corporation</c:v>
                </c:pt>
                <c:pt idx="17">
                  <c:v>FS KKR Capital Corp.</c:v>
                </c:pt>
                <c:pt idx="18">
                  <c:v>AGNC Investment Corp.</c:v>
                </c:pt>
                <c:pt idx="19">
                  <c:v>OCI N.V.</c:v>
                </c:pt>
              </c:strCache>
            </c:strRef>
          </c:cat>
          <c:val>
            <c:numRef>
              <c:f>Folha1!$K$2:$K$21</c:f>
              <c:numCache>
                <c:formatCode>_("€"* #,##0.00_);_("€"* \(#,##0.00\);_("€"* "-"??_);_(@_)</c:formatCode>
                <c:ptCount val="20"/>
                <c:pt idx="0">
                  <c:v>324.97919999999999</c:v>
                </c:pt>
                <c:pt idx="1">
                  <c:v>424.79999999999995</c:v>
                </c:pt>
                <c:pt idx="2">
                  <c:v>393.12</c:v>
                </c:pt>
                <c:pt idx="3">
                  <c:v>419.904</c:v>
                </c:pt>
                <c:pt idx="4">
                  <c:v>288</c:v>
                </c:pt>
                <c:pt idx="5">
                  <c:v>419.32800000000009</c:v>
                </c:pt>
                <c:pt idx="6">
                  <c:v>396</c:v>
                </c:pt>
                <c:pt idx="7">
                  <c:v>393.12</c:v>
                </c:pt>
                <c:pt idx="8">
                  <c:v>491.4</c:v>
                </c:pt>
                <c:pt idx="9">
                  <c:v>450.77759999999989</c:v>
                </c:pt>
                <c:pt idx="10">
                  <c:v>571.33440000000007</c:v>
                </c:pt>
                <c:pt idx="11">
                  <c:v>498.24</c:v>
                </c:pt>
                <c:pt idx="12">
                  <c:v>285.80400000000003</c:v>
                </c:pt>
                <c:pt idx="13">
                  <c:v>558</c:v>
                </c:pt>
                <c:pt idx="14">
                  <c:v>681.40800000000002</c:v>
                </c:pt>
                <c:pt idx="15">
                  <c:v>720.72</c:v>
                </c:pt>
                <c:pt idx="16">
                  <c:v>471.74400000000003</c:v>
                </c:pt>
                <c:pt idx="17">
                  <c:v>733.82400000000007</c:v>
                </c:pt>
                <c:pt idx="18">
                  <c:v>754.79039999999986</c:v>
                </c:pt>
                <c:pt idx="19">
                  <c:v>939.59999999999991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843810304"/>
        <c:axId val="1843811936"/>
      </c:barChart>
      <c:catAx>
        <c:axId val="1843810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PT"/>
          </a:p>
        </c:txPr>
        <c:crossAx val="1843811936"/>
        <c:crosses val="autoZero"/>
        <c:auto val="1"/>
        <c:lblAlgn val="ctr"/>
        <c:lblOffset val="100"/>
        <c:noMultiLvlLbl val="0"/>
      </c:catAx>
      <c:valAx>
        <c:axId val="1843811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€&quot;* #,##0.00_);_(&quot;€&quot;* \(#,##0.00\);_(&quot;€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PT"/>
          </a:p>
        </c:txPr>
        <c:crossAx val="18438103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PT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P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5"/>
            <c:bubble3D val="0"/>
            <c:spPr>
              <a:solidFill>
                <a:schemeClr val="accent6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dLbl>
              <c:idx val="0"/>
              <c:layout>
                <c:manualLayout>
                  <c:x val="3.5163713910761153E-2"/>
                  <c:y val="-9.1447944006999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0214238845144358E-2"/>
                  <c:y val="5.85112277631963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9074912510936133E-2"/>
                  <c:y val="3.74136045494313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1.6049103237095363E-2"/>
                  <c:y val="-1.1821959755030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3.2709973753280839E-4"/>
                  <c:y val="-4.03714639836687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5.3924978127734289E-3"/>
                  <c:y val="-2.99817731116943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5552821522309715E-2"/>
                  <c:y val="-1.5757509477981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P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Folha1!$K$30:$K$36</c:f>
              <c:strCache>
                <c:ptCount val="7"/>
                <c:pt idx="0">
                  <c:v>Energia</c:v>
                </c:pt>
                <c:pt idx="1">
                  <c:v>Finanças</c:v>
                </c:pt>
                <c:pt idx="2">
                  <c:v>REIT</c:v>
                </c:pt>
                <c:pt idx="3">
                  <c:v>Comunicações</c:v>
                </c:pt>
                <c:pt idx="4">
                  <c:v>Consumo</c:v>
                </c:pt>
                <c:pt idx="5">
                  <c:v>Materiais</c:v>
                </c:pt>
                <c:pt idx="6">
                  <c:v>Saúde</c:v>
                </c:pt>
              </c:strCache>
            </c:strRef>
          </c:cat>
          <c:val>
            <c:numRef>
              <c:f>Folha1!$L$30:$L$36</c:f>
              <c:numCache>
                <c:formatCode>_("€"* #,##0.00_);_("€"* \(#,##0.00\);_("€"* "-"??_);_(@_)</c:formatCode>
                <c:ptCount val="7"/>
                <c:pt idx="0">
                  <c:v>30142</c:v>
                </c:pt>
                <c:pt idx="1">
                  <c:v>32888</c:v>
                </c:pt>
                <c:pt idx="2">
                  <c:v>24560</c:v>
                </c:pt>
                <c:pt idx="3">
                  <c:v>3608</c:v>
                </c:pt>
                <c:pt idx="4">
                  <c:v>10975</c:v>
                </c:pt>
                <c:pt idx="5">
                  <c:v>7902</c:v>
                </c:pt>
                <c:pt idx="6">
                  <c:v>6000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PT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PT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P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1617632023482215"/>
          <c:y val="5.7970994137591048E-2"/>
          <c:w val="0.38660941403717192"/>
          <c:h val="0.8706800900007584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accent6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accent4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accent6">
                  <a:lumMod val="80000"/>
                  <a:lumOff val="2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7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8"/>
            <c:bubble3D val="0"/>
            <c:spPr>
              <a:solidFill>
                <a:schemeClr val="accent4">
                  <a:lumMod val="80000"/>
                  <a:lumOff val="2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9"/>
            <c:bubble3D val="0"/>
            <c:spPr>
              <a:solidFill>
                <a:schemeClr val="accent6">
                  <a:lumMod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0"/>
            <c:bubble3D val="0"/>
            <c:spPr>
              <a:solidFill>
                <a:schemeClr val="accent5">
                  <a:lumMod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cat>
            <c:strRef>
              <c:f>Folha1!$K$38:$K$48</c:f>
              <c:strCache>
                <c:ptCount val="11"/>
                <c:pt idx="0">
                  <c:v>Alemanha</c:v>
                </c:pt>
                <c:pt idx="1">
                  <c:v>Austria</c:v>
                </c:pt>
                <c:pt idx="2">
                  <c:v>Bermuda</c:v>
                </c:pt>
                <c:pt idx="3">
                  <c:v>Brasil</c:v>
                </c:pt>
                <c:pt idx="4">
                  <c:v>Chipre</c:v>
                </c:pt>
                <c:pt idx="5">
                  <c:v>Espanha</c:v>
                </c:pt>
                <c:pt idx="6">
                  <c:v>Estados Unidos da América</c:v>
                </c:pt>
                <c:pt idx="7">
                  <c:v>França</c:v>
                </c:pt>
                <c:pt idx="8">
                  <c:v>Noruega</c:v>
                </c:pt>
                <c:pt idx="9">
                  <c:v>Países Baixos</c:v>
                </c:pt>
                <c:pt idx="10">
                  <c:v>Reino Unido</c:v>
                </c:pt>
              </c:strCache>
            </c:strRef>
          </c:cat>
          <c:val>
            <c:numRef>
              <c:f>Folha1!$L$38:$L$48</c:f>
              <c:numCache>
                <c:formatCode>_("€"* #,##0.00_);_("€"* \(#,##0.00\);_("€"* "-"??_);_(@_)</c:formatCode>
                <c:ptCount val="11"/>
                <c:pt idx="0">
                  <c:v>4910</c:v>
                </c:pt>
                <c:pt idx="1">
                  <c:v>6968.0000000000009</c:v>
                </c:pt>
                <c:pt idx="2">
                  <c:v>4842</c:v>
                </c:pt>
                <c:pt idx="3">
                  <c:v>5250</c:v>
                </c:pt>
                <c:pt idx="4">
                  <c:v>4530</c:v>
                </c:pt>
                <c:pt idx="5">
                  <c:v>5432</c:v>
                </c:pt>
                <c:pt idx="6">
                  <c:v>57841</c:v>
                </c:pt>
                <c:pt idx="7">
                  <c:v>3608</c:v>
                </c:pt>
                <c:pt idx="8">
                  <c:v>3120</c:v>
                </c:pt>
                <c:pt idx="9">
                  <c:v>13967</c:v>
                </c:pt>
                <c:pt idx="10">
                  <c:v>5607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3800087489063863E-2"/>
          <c:y val="2.8808178158804699E-2"/>
          <c:w val="0.2544689917100505"/>
          <c:h val="0.9711918218411953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PT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PT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85724</xdr:colOff>
      <xdr:row>22</xdr:row>
      <xdr:rowOff>4762</xdr:rowOff>
    </xdr:from>
    <xdr:to>
      <xdr:col>4</xdr:col>
      <xdr:colOff>952499</xdr:colOff>
      <xdr:row>37</xdr:row>
      <xdr:rowOff>171450</xdr:rowOff>
    </xdr:to>
    <xdr:graphicFrame macro="">
      <xdr:nvGraphicFramePr>
        <xdr:cNvPr id="11" name="Gráfico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133350</xdr:colOff>
      <xdr:row>23</xdr:row>
      <xdr:rowOff>180975</xdr:rowOff>
    </xdr:from>
    <xdr:to>
      <xdr:col>9</xdr:col>
      <xdr:colOff>666750</xdr:colOff>
      <xdr:row>38</xdr:row>
      <xdr:rowOff>9524</xdr:rowOff>
    </xdr:to>
    <xdr:graphicFrame macro="">
      <xdr:nvGraphicFramePr>
        <xdr:cNvPr id="12" name="Gráfico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76200</xdr:colOff>
      <xdr:row>38</xdr:row>
      <xdr:rowOff>71437</xdr:rowOff>
    </xdr:from>
    <xdr:to>
      <xdr:col>2</xdr:col>
      <xdr:colOff>1397000</xdr:colOff>
      <xdr:row>52</xdr:row>
      <xdr:rowOff>147637</xdr:rowOff>
    </xdr:to>
    <xdr:graphicFrame macro="">
      <xdr:nvGraphicFramePr>
        <xdr:cNvPr id="13" name="Gráfico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52917</xdr:colOff>
      <xdr:row>38</xdr:row>
      <xdr:rowOff>73024</xdr:rowOff>
    </xdr:from>
    <xdr:to>
      <xdr:col>9</xdr:col>
      <xdr:colOff>666750</xdr:colOff>
      <xdr:row>53</xdr:row>
      <xdr:rowOff>63500</xdr:rowOff>
    </xdr:to>
    <xdr:graphicFrame macro="">
      <xdr:nvGraphicFramePr>
        <xdr:cNvPr id="14" name="Gráfico 1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9"/>
  <sheetViews>
    <sheetView tabSelected="1" topLeftCell="A16" zoomScale="90" zoomScaleNormal="90" workbookViewId="0">
      <selection activeCell="O29" sqref="O29"/>
    </sheetView>
  </sheetViews>
  <sheetFormatPr defaultRowHeight="15" x14ac:dyDescent="0.25"/>
  <cols>
    <col min="1" max="1" width="6.7109375" bestFit="1" customWidth="1"/>
    <col min="2" max="2" width="35.85546875" bestFit="1" customWidth="1"/>
    <col min="3" max="3" width="22.5703125" bestFit="1" customWidth="1"/>
    <col min="4" max="5" width="13.85546875" bestFit="1" customWidth="1"/>
    <col min="6" max="6" width="6.28515625" bestFit="1" customWidth="1"/>
    <col min="7" max="7" width="13.85546875" bestFit="1" customWidth="1"/>
    <col min="8" max="8" width="15.85546875" bestFit="1" customWidth="1"/>
    <col min="9" max="9" width="20" bestFit="1" customWidth="1"/>
    <col min="10" max="10" width="11.5703125" bestFit="1" customWidth="1"/>
    <col min="11" max="11" width="25.140625" bestFit="1" customWidth="1"/>
    <col min="12" max="12" width="12.7109375" bestFit="1" customWidth="1"/>
    <col min="13" max="13" width="8.28515625" bestFit="1" customWidth="1"/>
  </cols>
  <sheetData>
    <row r="1" spans="1:12" x14ac:dyDescent="0.25">
      <c r="A1" s="52" t="s">
        <v>0</v>
      </c>
      <c r="B1" s="52" t="s">
        <v>1</v>
      </c>
      <c r="C1" s="52" t="s">
        <v>2</v>
      </c>
      <c r="D1" s="52" t="s">
        <v>3</v>
      </c>
      <c r="E1" s="52" t="s">
        <v>4</v>
      </c>
      <c r="F1" s="52" t="s">
        <v>6</v>
      </c>
      <c r="G1" s="52" t="s">
        <v>7</v>
      </c>
      <c r="H1" s="52" t="s">
        <v>13</v>
      </c>
      <c r="I1" s="52" t="s">
        <v>5</v>
      </c>
      <c r="J1" s="15" t="s">
        <v>8</v>
      </c>
      <c r="K1" s="52" t="s">
        <v>9</v>
      </c>
      <c r="L1" s="52" t="s">
        <v>10</v>
      </c>
    </row>
    <row r="2" spans="1:12" s="2" customFormat="1" x14ac:dyDescent="0.25">
      <c r="A2" s="24" t="s">
        <v>76</v>
      </c>
      <c r="B2" s="25" t="s">
        <v>75</v>
      </c>
      <c r="C2" s="25" t="s">
        <v>77</v>
      </c>
      <c r="D2" s="25" t="s">
        <v>12</v>
      </c>
      <c r="E2" s="26">
        <v>22.65</v>
      </c>
      <c r="F2" s="27">
        <v>200</v>
      </c>
      <c r="G2" s="28">
        <f>E2*F2</f>
        <v>4530</v>
      </c>
      <c r="H2" s="25" t="s">
        <v>78</v>
      </c>
      <c r="I2" s="28">
        <f>2.48*0.91*F2</f>
        <v>451.36</v>
      </c>
      <c r="J2" s="16">
        <f>I2*0.28</f>
        <v>126.38080000000002</v>
      </c>
      <c r="K2" s="26">
        <f>I2-J2</f>
        <v>324.97919999999999</v>
      </c>
      <c r="L2" s="43">
        <f>K2/G2</f>
        <v>7.1739337748344373E-2</v>
      </c>
    </row>
    <row r="3" spans="1:12" s="2" customFormat="1" x14ac:dyDescent="0.25">
      <c r="A3" s="24" t="s">
        <v>64</v>
      </c>
      <c r="B3" s="25" t="s">
        <v>65</v>
      </c>
      <c r="C3" s="25" t="s">
        <v>63</v>
      </c>
      <c r="D3" s="25" t="s">
        <v>12</v>
      </c>
      <c r="E3" s="26">
        <v>34.840000000000003</v>
      </c>
      <c r="F3" s="27">
        <v>200</v>
      </c>
      <c r="G3" s="26">
        <f>E3*F3</f>
        <v>6968.0000000000009</v>
      </c>
      <c r="H3" s="25" t="s">
        <v>62</v>
      </c>
      <c r="I3" s="28">
        <f>F3*2.95</f>
        <v>590</v>
      </c>
      <c r="J3" s="16">
        <f>I3*0.28</f>
        <v>165.20000000000002</v>
      </c>
      <c r="K3" s="26">
        <f>I3-J3</f>
        <v>424.79999999999995</v>
      </c>
      <c r="L3" s="43">
        <f>K3/G3</f>
        <v>6.0964408725602742E-2</v>
      </c>
    </row>
    <row r="4" spans="1:12" s="2" customFormat="1" x14ac:dyDescent="0.25">
      <c r="A4" s="29" t="s">
        <v>18</v>
      </c>
      <c r="B4" s="30" t="s">
        <v>17</v>
      </c>
      <c r="C4" s="30" t="s">
        <v>19</v>
      </c>
      <c r="D4" s="30" t="s">
        <v>12</v>
      </c>
      <c r="E4" s="31">
        <v>10.5</v>
      </c>
      <c r="F4" s="27">
        <v>500</v>
      </c>
      <c r="G4" s="31">
        <f>E4*F4</f>
        <v>5250</v>
      </c>
      <c r="H4" s="30" t="s">
        <v>66</v>
      </c>
      <c r="I4" s="31">
        <f>1.2*0.91*F4</f>
        <v>546</v>
      </c>
      <c r="J4" s="16">
        <f>I4*0.28</f>
        <v>152.88000000000002</v>
      </c>
      <c r="K4" s="31">
        <f>I4-J4</f>
        <v>393.12</v>
      </c>
      <c r="L4" s="44">
        <f>K4/G4</f>
        <v>7.4880000000000002E-2</v>
      </c>
    </row>
    <row r="5" spans="1:12" s="2" customFormat="1" x14ac:dyDescent="0.25">
      <c r="A5" s="24" t="s">
        <v>81</v>
      </c>
      <c r="B5" s="25" t="s">
        <v>80</v>
      </c>
      <c r="C5" s="25" t="s">
        <v>21</v>
      </c>
      <c r="D5" s="25" t="s">
        <v>14</v>
      </c>
      <c r="E5" s="26">
        <v>6.23</v>
      </c>
      <c r="F5" s="27">
        <v>900</v>
      </c>
      <c r="G5" s="28">
        <f>E5*F5</f>
        <v>5607</v>
      </c>
      <c r="H5" s="25" t="s">
        <v>79</v>
      </c>
      <c r="I5" s="28">
        <f>0.54*1.2*F5</f>
        <v>583.20000000000005</v>
      </c>
      <c r="J5" s="16">
        <f>I5*0.28</f>
        <v>163.29600000000002</v>
      </c>
      <c r="K5" s="26">
        <f>I5-J5</f>
        <v>419.904</v>
      </c>
      <c r="L5" s="43">
        <f>K5/G5</f>
        <v>7.48892455858748E-2</v>
      </c>
    </row>
    <row r="6" spans="1:12" s="2" customFormat="1" x14ac:dyDescent="0.25">
      <c r="A6" s="24" t="s">
        <v>89</v>
      </c>
      <c r="B6" s="25" t="s">
        <v>88</v>
      </c>
      <c r="C6" s="25" t="s">
        <v>15</v>
      </c>
      <c r="D6" s="25" t="s">
        <v>27</v>
      </c>
      <c r="E6" s="26">
        <v>4.51</v>
      </c>
      <c r="F6" s="27">
        <v>800</v>
      </c>
      <c r="G6" s="28">
        <f>E6*F6</f>
        <v>3608</v>
      </c>
      <c r="H6" s="25" t="s">
        <v>90</v>
      </c>
      <c r="I6" s="28">
        <f>F6*0.5</f>
        <v>400</v>
      </c>
      <c r="J6" s="16">
        <f>I6*0.28</f>
        <v>112.00000000000001</v>
      </c>
      <c r="K6" s="26">
        <f>I6-J6</f>
        <v>288</v>
      </c>
      <c r="L6" s="43">
        <f>K6/G6</f>
        <v>7.9822616407982258E-2</v>
      </c>
    </row>
    <row r="7" spans="1:12" s="2" customFormat="1" x14ac:dyDescent="0.25">
      <c r="A7" s="24" t="s">
        <v>83</v>
      </c>
      <c r="B7" s="25" t="s">
        <v>82</v>
      </c>
      <c r="C7" s="25" t="s">
        <v>11</v>
      </c>
      <c r="D7" s="25" t="s">
        <v>35</v>
      </c>
      <c r="E7" s="26">
        <v>13.1</v>
      </c>
      <c r="F7" s="27">
        <v>400</v>
      </c>
      <c r="G7" s="28">
        <f>E7*F7</f>
        <v>5240</v>
      </c>
      <c r="H7" s="25" t="s">
        <v>84</v>
      </c>
      <c r="I7" s="28">
        <f>1.6*0.91*F7</f>
        <v>582.40000000000009</v>
      </c>
      <c r="J7" s="16">
        <f>I7*0.28</f>
        <v>163.07200000000003</v>
      </c>
      <c r="K7" s="26">
        <f>I7-J7</f>
        <v>419.32800000000009</v>
      </c>
      <c r="L7" s="43">
        <f>K7/G7</f>
        <v>8.0024427480916052E-2</v>
      </c>
    </row>
    <row r="8" spans="1:12" s="2" customFormat="1" x14ac:dyDescent="0.25">
      <c r="A8" s="24" t="s">
        <v>74</v>
      </c>
      <c r="B8" s="25" t="s">
        <v>71</v>
      </c>
      <c r="C8" s="25" t="s">
        <v>72</v>
      </c>
      <c r="D8" s="25" t="s">
        <v>16</v>
      </c>
      <c r="E8" s="26">
        <v>4.91</v>
      </c>
      <c r="F8" s="27">
        <v>1000</v>
      </c>
      <c r="G8" s="26">
        <f>E8*F8</f>
        <v>4910</v>
      </c>
      <c r="H8" s="25" t="s">
        <v>73</v>
      </c>
      <c r="I8" s="28">
        <f>F8*0.55</f>
        <v>550</v>
      </c>
      <c r="J8" s="16">
        <f>I8*0.28</f>
        <v>154.00000000000003</v>
      </c>
      <c r="K8" s="26">
        <f>I8-J8</f>
        <v>396</v>
      </c>
      <c r="L8" s="43">
        <f>K8/G8</f>
        <v>8.0651731160896134E-2</v>
      </c>
    </row>
    <row r="9" spans="1:12" s="2" customFormat="1" x14ac:dyDescent="0.25">
      <c r="A9" s="29" t="s">
        <v>69</v>
      </c>
      <c r="B9" s="30" t="s">
        <v>68</v>
      </c>
      <c r="C9" s="30" t="s">
        <v>67</v>
      </c>
      <c r="D9" s="30" t="s">
        <v>12</v>
      </c>
      <c r="E9" s="31">
        <v>24.21</v>
      </c>
      <c r="F9" s="27">
        <v>200</v>
      </c>
      <c r="G9" s="31">
        <f>E9*F9</f>
        <v>4842</v>
      </c>
      <c r="H9" s="30" t="s">
        <v>70</v>
      </c>
      <c r="I9" s="31">
        <f>3*0.91*F9</f>
        <v>546</v>
      </c>
      <c r="J9" s="16">
        <f>I9*0.28</f>
        <v>152.88000000000002</v>
      </c>
      <c r="K9" s="31">
        <f>I9-J9</f>
        <v>393.12</v>
      </c>
      <c r="L9" s="44">
        <f>K9/G9</f>
        <v>8.1189591078066919E-2</v>
      </c>
    </row>
    <row r="10" spans="1:12" s="2" customFormat="1" x14ac:dyDescent="0.25">
      <c r="A10" s="29" t="s">
        <v>30</v>
      </c>
      <c r="B10" s="30" t="s">
        <v>32</v>
      </c>
      <c r="C10" s="30" t="s">
        <v>11</v>
      </c>
      <c r="D10" s="30" t="s">
        <v>31</v>
      </c>
      <c r="E10" s="31">
        <v>8</v>
      </c>
      <c r="F10" s="27">
        <v>750</v>
      </c>
      <c r="G10" s="31">
        <f>E10*F10</f>
        <v>6000</v>
      </c>
      <c r="H10" s="30" t="s">
        <v>33</v>
      </c>
      <c r="I10" s="31">
        <f>1*0.91*F10</f>
        <v>682.5</v>
      </c>
      <c r="J10" s="16">
        <f>I10*0.28</f>
        <v>191.10000000000002</v>
      </c>
      <c r="K10" s="31">
        <f>I10-J10</f>
        <v>491.4</v>
      </c>
      <c r="L10" s="44">
        <f>K10/G10</f>
        <v>8.1900000000000001E-2</v>
      </c>
    </row>
    <row r="11" spans="1:12" s="2" customFormat="1" x14ac:dyDescent="0.25">
      <c r="A11" s="24" t="s">
        <v>86</v>
      </c>
      <c r="B11" s="25" t="s">
        <v>85</v>
      </c>
      <c r="C11" s="25" t="s">
        <v>11</v>
      </c>
      <c r="D11" s="25" t="s">
        <v>35</v>
      </c>
      <c r="E11" s="26">
        <v>13.72</v>
      </c>
      <c r="F11" s="27">
        <v>400</v>
      </c>
      <c r="G11" s="28">
        <f>E11*F11</f>
        <v>5488</v>
      </c>
      <c r="H11" s="25" t="s">
        <v>87</v>
      </c>
      <c r="I11" s="28">
        <f>1.72*0.91*F11</f>
        <v>626.07999999999993</v>
      </c>
      <c r="J11" s="16">
        <f>I11*0.28</f>
        <v>175.30240000000001</v>
      </c>
      <c r="K11" s="26">
        <f>I11-J11</f>
        <v>450.77759999999989</v>
      </c>
      <c r="L11" s="43">
        <f>K11/G11</f>
        <v>8.2138775510204057E-2</v>
      </c>
    </row>
    <row r="12" spans="1:12" s="2" customFormat="1" x14ac:dyDescent="0.25">
      <c r="A12" s="32" t="s">
        <v>54</v>
      </c>
      <c r="B12" s="33" t="s">
        <v>53</v>
      </c>
      <c r="C12" s="33" t="s">
        <v>11</v>
      </c>
      <c r="D12" s="33" t="s">
        <v>35</v>
      </c>
      <c r="E12" s="34">
        <v>16.59</v>
      </c>
      <c r="F12" s="27">
        <v>400</v>
      </c>
      <c r="G12" s="34">
        <f>E12*F12</f>
        <v>6636</v>
      </c>
      <c r="H12" s="33" t="s">
        <v>52</v>
      </c>
      <c r="I12" s="31">
        <f>2.18*0.91*F12</f>
        <v>793.5200000000001</v>
      </c>
      <c r="J12" s="16">
        <f>I12*0.28</f>
        <v>222.18560000000005</v>
      </c>
      <c r="K12" s="34">
        <f>I12-J12</f>
        <v>571.33440000000007</v>
      </c>
      <c r="L12" s="45">
        <f>K12/G12</f>
        <v>8.6096202531645585E-2</v>
      </c>
    </row>
    <row r="13" spans="1:12" s="2" customFormat="1" x14ac:dyDescent="0.25">
      <c r="A13" s="35" t="s">
        <v>57</v>
      </c>
      <c r="B13" s="36" t="s">
        <v>56</v>
      </c>
      <c r="C13" s="36" t="s">
        <v>55</v>
      </c>
      <c r="D13" s="36" t="s">
        <v>12</v>
      </c>
      <c r="E13" s="28">
        <v>13.58</v>
      </c>
      <c r="F13" s="27">
        <v>400</v>
      </c>
      <c r="G13" s="28">
        <f>E13*F13</f>
        <v>5432</v>
      </c>
      <c r="H13" s="36" t="s">
        <v>58</v>
      </c>
      <c r="I13" s="28">
        <f>F13*1.73</f>
        <v>692</v>
      </c>
      <c r="J13" s="16">
        <f>I13*0.28</f>
        <v>193.76000000000002</v>
      </c>
      <c r="K13" s="28">
        <f>I13-J13</f>
        <v>498.24</v>
      </c>
      <c r="L13" s="46">
        <f>K13/G13</f>
        <v>9.1723122238586155E-2</v>
      </c>
    </row>
    <row r="14" spans="1:12" s="2" customFormat="1" x14ac:dyDescent="0.25">
      <c r="A14" s="37" t="s">
        <v>50</v>
      </c>
      <c r="B14" s="38" t="s">
        <v>49</v>
      </c>
      <c r="C14" s="38" t="s">
        <v>51</v>
      </c>
      <c r="D14" s="38" t="s">
        <v>12</v>
      </c>
      <c r="E14" s="39">
        <v>3.12</v>
      </c>
      <c r="F14" s="27">
        <v>1000</v>
      </c>
      <c r="G14" s="39">
        <f>E14*F14</f>
        <v>3120</v>
      </c>
      <c r="H14" s="38" t="s">
        <v>48</v>
      </c>
      <c r="I14" s="31">
        <f>4.67*0.085*F14</f>
        <v>396.95000000000005</v>
      </c>
      <c r="J14" s="17">
        <f>I14*0.28</f>
        <v>111.14600000000003</v>
      </c>
      <c r="K14" s="39">
        <f>I14-J14</f>
        <v>285.80400000000003</v>
      </c>
      <c r="L14" s="47">
        <f>K14/G14</f>
        <v>9.1603846153846161E-2</v>
      </c>
    </row>
    <row r="15" spans="1:12" s="2" customFormat="1" x14ac:dyDescent="0.25">
      <c r="A15" s="32" t="s">
        <v>59</v>
      </c>
      <c r="B15" s="33" t="s">
        <v>60</v>
      </c>
      <c r="C15" s="33" t="s">
        <v>26</v>
      </c>
      <c r="D15" s="33" t="s">
        <v>16</v>
      </c>
      <c r="E15" s="34">
        <v>12.13</v>
      </c>
      <c r="F15" s="27">
        <v>500</v>
      </c>
      <c r="G15" s="34">
        <f>E15*F15</f>
        <v>6065</v>
      </c>
      <c r="H15" s="33" t="s">
        <v>61</v>
      </c>
      <c r="I15" s="28">
        <f>F15*1.55</f>
        <v>775</v>
      </c>
      <c r="J15" s="16">
        <f>I15*0.28</f>
        <v>217.00000000000003</v>
      </c>
      <c r="K15" s="34">
        <f>I15-J15</f>
        <v>558</v>
      </c>
      <c r="L15" s="45">
        <f>K15/G15</f>
        <v>9.20032976092333E-2</v>
      </c>
    </row>
    <row r="16" spans="1:12" s="2" customFormat="1" x14ac:dyDescent="0.25">
      <c r="A16" s="40" t="s">
        <v>46</v>
      </c>
      <c r="B16" s="41" t="s">
        <v>45</v>
      </c>
      <c r="C16" s="41" t="s">
        <v>11</v>
      </c>
      <c r="D16" s="41" t="s">
        <v>35</v>
      </c>
      <c r="E16" s="42">
        <v>17.989999999999998</v>
      </c>
      <c r="F16" s="27">
        <v>400</v>
      </c>
      <c r="G16" s="31">
        <f>E16*F16</f>
        <v>7195.9999999999991</v>
      </c>
      <c r="H16" s="41" t="s">
        <v>47</v>
      </c>
      <c r="I16" s="31">
        <f>2.6*0.91*F16</f>
        <v>946.40000000000009</v>
      </c>
      <c r="J16" s="16">
        <f>I16*0.28</f>
        <v>264.99200000000008</v>
      </c>
      <c r="K16" s="31">
        <f>I16-J16</f>
        <v>681.40800000000002</v>
      </c>
      <c r="L16" s="44">
        <f>K16/G16</f>
        <v>9.4692607003891066E-2</v>
      </c>
    </row>
    <row r="17" spans="1:13" s="2" customFormat="1" x14ac:dyDescent="0.25">
      <c r="A17" s="29" t="s">
        <v>41</v>
      </c>
      <c r="B17" s="30" t="s">
        <v>40</v>
      </c>
      <c r="C17" s="30" t="s">
        <v>11</v>
      </c>
      <c r="D17" s="30" t="s">
        <v>14</v>
      </c>
      <c r="E17" s="31">
        <v>15.01</v>
      </c>
      <c r="F17" s="27">
        <v>500</v>
      </c>
      <c r="G17" s="31">
        <f>E17*F17</f>
        <v>7505</v>
      </c>
      <c r="H17" s="30" t="s">
        <v>39</v>
      </c>
      <c r="I17" s="31">
        <f>2.2*0.91*F17</f>
        <v>1001.0000000000001</v>
      </c>
      <c r="J17" s="16">
        <f>I17*0.28</f>
        <v>280.28000000000009</v>
      </c>
      <c r="K17" s="31">
        <f>I17-J17</f>
        <v>720.72</v>
      </c>
      <c r="L17" s="44">
        <f>K17/G17</f>
        <v>9.6031978680879412E-2</v>
      </c>
    </row>
    <row r="18" spans="1:13" s="2" customFormat="1" x14ac:dyDescent="0.25">
      <c r="A18" s="29" t="s">
        <v>43</v>
      </c>
      <c r="B18" s="30" t="s">
        <v>42</v>
      </c>
      <c r="C18" s="30" t="s">
        <v>11</v>
      </c>
      <c r="D18" s="30" t="s">
        <v>14</v>
      </c>
      <c r="E18" s="31">
        <v>4.82</v>
      </c>
      <c r="F18" s="27">
        <v>1000</v>
      </c>
      <c r="G18" s="31">
        <f>E18*F18</f>
        <v>4820</v>
      </c>
      <c r="H18" s="30" t="s">
        <v>44</v>
      </c>
      <c r="I18" s="31">
        <f>0.72*0.91*F18</f>
        <v>655.20000000000005</v>
      </c>
      <c r="J18" s="16">
        <f>I18*0.28</f>
        <v>183.45600000000002</v>
      </c>
      <c r="K18" s="31">
        <f>I18-J18</f>
        <v>471.74400000000003</v>
      </c>
      <c r="L18" s="44">
        <f>K18/G18</f>
        <v>9.7872199170124491E-2</v>
      </c>
    </row>
    <row r="19" spans="1:13" s="2" customFormat="1" x14ac:dyDescent="0.25">
      <c r="A19" s="29" t="s">
        <v>29</v>
      </c>
      <c r="B19" s="30" t="s">
        <v>28</v>
      </c>
      <c r="C19" s="30" t="s">
        <v>11</v>
      </c>
      <c r="D19" s="30" t="s">
        <v>14</v>
      </c>
      <c r="E19" s="31">
        <v>18.47</v>
      </c>
      <c r="F19" s="27">
        <v>400</v>
      </c>
      <c r="G19" s="31">
        <f>E19*F19</f>
        <v>7388</v>
      </c>
      <c r="H19" s="30" t="s">
        <v>34</v>
      </c>
      <c r="I19" s="31">
        <f>2.8*0.91*F19</f>
        <v>1019.2</v>
      </c>
      <c r="J19" s="16">
        <f>I19*0.28</f>
        <v>285.37600000000003</v>
      </c>
      <c r="K19" s="31">
        <f>I19-J19</f>
        <v>733.82400000000007</v>
      </c>
      <c r="L19" s="44">
        <f>K19/G19</f>
        <v>9.9326475365457509E-2</v>
      </c>
    </row>
    <row r="20" spans="1:13" s="2" customFormat="1" x14ac:dyDescent="0.25">
      <c r="A20" s="29" t="s">
        <v>37</v>
      </c>
      <c r="B20" s="30" t="s">
        <v>38</v>
      </c>
      <c r="C20" s="30" t="s">
        <v>11</v>
      </c>
      <c r="D20" s="30" t="s">
        <v>14</v>
      </c>
      <c r="E20" s="31">
        <v>9.4600000000000009</v>
      </c>
      <c r="F20" s="27">
        <v>800</v>
      </c>
      <c r="G20" s="31">
        <f>E20*F20</f>
        <v>7568.0000000000009</v>
      </c>
      <c r="H20" s="30" t="s">
        <v>36</v>
      </c>
      <c r="I20" s="31">
        <f>1.44*0.91*F20</f>
        <v>1048.32</v>
      </c>
      <c r="J20" s="16">
        <f>I20*0.28</f>
        <v>293.52960000000002</v>
      </c>
      <c r="K20" s="31">
        <f>I20-J20</f>
        <v>754.79039999999986</v>
      </c>
      <c r="L20" s="44">
        <f>K20/G20</f>
        <v>9.9734460887949225E-2</v>
      </c>
    </row>
    <row r="21" spans="1:13" s="2" customFormat="1" x14ac:dyDescent="0.25">
      <c r="A21" s="29" t="s">
        <v>23</v>
      </c>
      <c r="B21" s="30" t="s">
        <v>24</v>
      </c>
      <c r="C21" s="30" t="s">
        <v>26</v>
      </c>
      <c r="D21" s="30" t="s">
        <v>20</v>
      </c>
      <c r="E21" s="31">
        <v>26.34</v>
      </c>
      <c r="F21" s="27">
        <v>300</v>
      </c>
      <c r="G21" s="31">
        <f>E21*F21</f>
        <v>7902</v>
      </c>
      <c r="H21" s="30" t="s">
        <v>25</v>
      </c>
      <c r="I21" s="31">
        <f>F21*4.35</f>
        <v>1305</v>
      </c>
      <c r="J21" s="16">
        <f>I21*0.28</f>
        <v>365.40000000000003</v>
      </c>
      <c r="K21" s="31">
        <f>I21-J21</f>
        <v>939.59999999999991</v>
      </c>
      <c r="L21" s="44">
        <f>K21/G21</f>
        <v>0.11890660592255124</v>
      </c>
    </row>
    <row r="22" spans="1:13" s="2" customFormat="1" x14ac:dyDescent="0.25">
      <c r="E22" s="3" t="s">
        <v>22</v>
      </c>
      <c r="F22" s="4"/>
      <c r="G22" s="50">
        <f>SUM(G2:G21)</f>
        <v>116075</v>
      </c>
      <c r="I22" s="51">
        <f>SUM(I2:I21)</f>
        <v>14190.130000000003</v>
      </c>
      <c r="J22" s="18">
        <f t="shared" ref="J11:J22" si="0">I22*0.28</f>
        <v>3973.2364000000011</v>
      </c>
      <c r="K22" s="48">
        <f t="shared" ref="K11:K22" si="1">I22-J22</f>
        <v>10216.893600000001</v>
      </c>
      <c r="L22" s="49">
        <f>K22/G22</f>
        <v>8.8019759638164996E-2</v>
      </c>
    </row>
    <row r="23" spans="1:13" s="2" customFormat="1" x14ac:dyDescent="0.25">
      <c r="I23" s="20">
        <f>I22/G22</f>
        <v>0.12224966616411805</v>
      </c>
      <c r="K23" s="19">
        <f>K22/12</f>
        <v>851.40780000000007</v>
      </c>
      <c r="L23" s="20">
        <f>K23/G22</f>
        <v>7.3349799698470821E-3</v>
      </c>
      <c r="M23" s="21" t="s">
        <v>95</v>
      </c>
    </row>
    <row r="24" spans="1:13" s="2" customFormat="1" x14ac:dyDescent="0.25">
      <c r="D24" s="7"/>
      <c r="E24" s="7"/>
      <c r="F24" s="7"/>
      <c r="G24" s="7"/>
      <c r="H24" s="7"/>
      <c r="I24" s="6"/>
      <c r="J24" s="7"/>
    </row>
    <row r="25" spans="1:13" x14ac:dyDescent="0.25">
      <c r="D25" s="7"/>
      <c r="E25" s="7"/>
      <c r="F25" s="7"/>
      <c r="G25" s="7"/>
      <c r="H25" s="7"/>
      <c r="I25" s="7"/>
      <c r="J25" s="7"/>
      <c r="K25" s="23" t="s">
        <v>91</v>
      </c>
      <c r="L25" s="1">
        <f>820*14</f>
        <v>11480</v>
      </c>
    </row>
    <row r="26" spans="1:13" x14ac:dyDescent="0.25">
      <c r="D26" s="7"/>
      <c r="E26" s="8"/>
      <c r="F26" s="8"/>
      <c r="G26" s="7"/>
      <c r="H26" s="8"/>
      <c r="I26" s="8"/>
      <c r="J26" s="7"/>
      <c r="K26" s="23" t="s">
        <v>92</v>
      </c>
      <c r="L26" s="1">
        <f>L25*0.11</f>
        <v>1262.8</v>
      </c>
    </row>
    <row r="27" spans="1:13" x14ac:dyDescent="0.25">
      <c r="D27" s="7"/>
      <c r="E27" s="9"/>
      <c r="F27" s="10"/>
      <c r="G27" s="7"/>
      <c r="H27" s="11"/>
      <c r="I27" s="12"/>
      <c r="J27" s="7"/>
      <c r="K27" s="23" t="s">
        <v>93</v>
      </c>
      <c r="L27" s="1">
        <f>L25-L26</f>
        <v>10217.200000000001</v>
      </c>
    </row>
    <row r="28" spans="1:13" x14ac:dyDescent="0.25">
      <c r="D28" s="7"/>
      <c r="E28" s="9"/>
      <c r="F28" s="10"/>
      <c r="G28" s="7"/>
      <c r="H28" s="11"/>
      <c r="I28" s="12"/>
      <c r="J28" s="7"/>
      <c r="K28" s="23" t="s">
        <v>94</v>
      </c>
      <c r="L28" s="1">
        <f>L27/12</f>
        <v>851.43333333333339</v>
      </c>
    </row>
    <row r="29" spans="1:13" x14ac:dyDescent="0.25">
      <c r="D29" s="7"/>
      <c r="E29" s="9"/>
      <c r="F29" s="10"/>
      <c r="G29" s="7"/>
      <c r="H29" s="11"/>
      <c r="I29" s="12"/>
      <c r="J29" s="7"/>
    </row>
    <row r="30" spans="1:13" x14ac:dyDescent="0.25">
      <c r="D30" s="7"/>
      <c r="E30" s="9"/>
      <c r="F30" s="10"/>
      <c r="G30" s="7"/>
      <c r="H30" s="11"/>
      <c r="I30" s="12"/>
      <c r="J30" s="7"/>
      <c r="K30" s="53" t="s">
        <v>12</v>
      </c>
      <c r="L30" s="22">
        <f>G2+G3+G4+G9+G13+G14</f>
        <v>30142</v>
      </c>
      <c r="M30" s="56">
        <f>L30/$G$22</f>
        <v>0.2596769330174456</v>
      </c>
    </row>
    <row r="31" spans="1:13" x14ac:dyDescent="0.25">
      <c r="D31" s="7"/>
      <c r="E31" s="7"/>
      <c r="F31" s="7"/>
      <c r="G31" s="7"/>
      <c r="H31" s="11"/>
      <c r="I31" s="12"/>
      <c r="J31" s="7"/>
      <c r="K31" s="53" t="s">
        <v>14</v>
      </c>
      <c r="L31" s="22">
        <f>G5+G17+G18+G19+G20</f>
        <v>32888</v>
      </c>
      <c r="M31" s="56">
        <f t="shared" ref="M31:M36" si="2">L31/$G$22</f>
        <v>0.28333405125996125</v>
      </c>
    </row>
    <row r="32" spans="1:13" x14ac:dyDescent="0.25">
      <c r="D32" s="7"/>
      <c r="E32" s="8"/>
      <c r="F32" s="8"/>
      <c r="G32" s="7"/>
      <c r="H32" s="11"/>
      <c r="I32" s="12"/>
      <c r="J32" s="7"/>
      <c r="K32" s="54" t="s">
        <v>35</v>
      </c>
      <c r="L32" s="22">
        <f>G7+G11+G12+G16</f>
        <v>24560</v>
      </c>
      <c r="M32" s="56">
        <f t="shared" si="2"/>
        <v>0.21158733577428387</v>
      </c>
    </row>
    <row r="33" spans="4:13" x14ac:dyDescent="0.25">
      <c r="D33" s="7"/>
      <c r="E33" s="13"/>
      <c r="F33" s="14"/>
      <c r="G33" s="7"/>
      <c r="H33" s="11"/>
      <c r="I33" s="12"/>
      <c r="J33" s="7"/>
      <c r="K33" s="54" t="s">
        <v>27</v>
      </c>
      <c r="L33" s="22">
        <f>G6</f>
        <v>3608</v>
      </c>
      <c r="M33" s="56">
        <f t="shared" si="2"/>
        <v>3.1083351281499031E-2</v>
      </c>
    </row>
    <row r="34" spans="4:13" x14ac:dyDescent="0.25">
      <c r="D34" s="7"/>
      <c r="E34" s="13"/>
      <c r="F34" s="14"/>
      <c r="G34" s="7"/>
      <c r="H34" s="11"/>
      <c r="I34" s="12"/>
      <c r="J34" s="7"/>
      <c r="K34" s="53" t="s">
        <v>16</v>
      </c>
      <c r="L34" s="22">
        <f>G8+G15</f>
        <v>10975</v>
      </c>
      <c r="M34" s="56">
        <f t="shared" si="2"/>
        <v>9.4550936894249413E-2</v>
      </c>
    </row>
    <row r="35" spans="4:13" x14ac:dyDescent="0.25">
      <c r="D35" s="7"/>
      <c r="E35" s="13"/>
      <c r="F35" s="14"/>
      <c r="G35" s="7"/>
      <c r="H35" s="11"/>
      <c r="I35" s="12"/>
      <c r="J35" s="7"/>
      <c r="K35" s="53" t="s">
        <v>20</v>
      </c>
      <c r="L35" s="22">
        <f>G21</f>
        <v>7902</v>
      </c>
      <c r="M35" s="56">
        <f t="shared" si="2"/>
        <v>6.8076674563859574E-2</v>
      </c>
    </row>
    <row r="36" spans="4:13" x14ac:dyDescent="0.25">
      <c r="D36" s="7"/>
      <c r="E36" s="13"/>
      <c r="F36" s="14"/>
      <c r="G36" s="7"/>
      <c r="H36" s="7"/>
      <c r="I36" s="7"/>
      <c r="J36" s="7"/>
      <c r="K36" s="53" t="s">
        <v>31</v>
      </c>
      <c r="L36" s="22">
        <f>G10</f>
        <v>6000</v>
      </c>
      <c r="M36" s="56">
        <f t="shared" si="2"/>
        <v>5.1690717208701269E-2</v>
      </c>
    </row>
    <row r="37" spans="4:13" x14ac:dyDescent="0.25">
      <c r="D37" s="7"/>
      <c r="E37" s="13"/>
      <c r="F37" s="14"/>
      <c r="G37" s="7"/>
      <c r="H37" s="7"/>
      <c r="I37" s="7"/>
      <c r="J37" s="7"/>
      <c r="L37" s="5"/>
    </row>
    <row r="38" spans="4:13" x14ac:dyDescent="0.25">
      <c r="K38" s="55" t="s">
        <v>72</v>
      </c>
      <c r="L38" s="22">
        <f>G8</f>
        <v>4910</v>
      </c>
      <c r="M38" s="57">
        <f>L38/$G$22</f>
        <v>4.2300236915787208E-2</v>
      </c>
    </row>
    <row r="39" spans="4:13" x14ac:dyDescent="0.25">
      <c r="K39" s="55" t="s">
        <v>63</v>
      </c>
      <c r="L39" s="22">
        <f>G3</f>
        <v>6968.0000000000009</v>
      </c>
      <c r="M39" s="57">
        <f t="shared" ref="M39:M48" si="3">L39/$G$22</f>
        <v>6.003015291837175E-2</v>
      </c>
    </row>
    <row r="40" spans="4:13" x14ac:dyDescent="0.25">
      <c r="K40" s="55" t="s">
        <v>67</v>
      </c>
      <c r="L40" s="22">
        <f>G9</f>
        <v>4842</v>
      </c>
      <c r="M40" s="57">
        <f t="shared" si="3"/>
        <v>4.1714408787421928E-2</v>
      </c>
    </row>
    <row r="41" spans="4:13" x14ac:dyDescent="0.25">
      <c r="K41" s="55" t="s">
        <v>19</v>
      </c>
      <c r="L41" s="22">
        <f>G4</f>
        <v>5250</v>
      </c>
      <c r="M41" s="57">
        <f t="shared" si="3"/>
        <v>4.5229377557613609E-2</v>
      </c>
    </row>
    <row r="42" spans="4:13" x14ac:dyDescent="0.25">
      <c r="K42" s="55" t="s">
        <v>77</v>
      </c>
      <c r="L42" s="22">
        <f>G2</f>
        <v>4530</v>
      </c>
      <c r="M42" s="57">
        <f t="shared" si="3"/>
        <v>3.9026491492569461E-2</v>
      </c>
    </row>
    <row r="43" spans="4:13" x14ac:dyDescent="0.25">
      <c r="K43" s="55" t="s">
        <v>55</v>
      </c>
      <c r="L43" s="22">
        <f>G13</f>
        <v>5432</v>
      </c>
      <c r="M43" s="57">
        <f t="shared" si="3"/>
        <v>4.6797329312944218E-2</v>
      </c>
    </row>
    <row r="44" spans="4:13" x14ac:dyDescent="0.25">
      <c r="K44" s="55" t="s">
        <v>96</v>
      </c>
      <c r="L44" s="22">
        <f>G7+G10+G11+G12+G16+G17+G18+G19+G20</f>
        <v>57841</v>
      </c>
      <c r="M44" s="57">
        <f t="shared" si="3"/>
        <v>0.49830712901141505</v>
      </c>
    </row>
    <row r="45" spans="4:13" x14ac:dyDescent="0.25">
      <c r="K45" s="55" t="s">
        <v>15</v>
      </c>
      <c r="L45" s="22">
        <f>G6</f>
        <v>3608</v>
      </c>
      <c r="M45" s="57">
        <f t="shared" si="3"/>
        <v>3.1083351281499031E-2</v>
      </c>
    </row>
    <row r="46" spans="4:13" x14ac:dyDescent="0.25">
      <c r="K46" s="55" t="s">
        <v>51</v>
      </c>
      <c r="L46" s="22">
        <f>G14</f>
        <v>3120</v>
      </c>
      <c r="M46" s="57">
        <f t="shared" si="3"/>
        <v>2.6879172948524661E-2</v>
      </c>
    </row>
    <row r="47" spans="4:13" x14ac:dyDescent="0.25">
      <c r="K47" s="55" t="s">
        <v>26</v>
      </c>
      <c r="L47" s="22">
        <f>G15+G21</f>
        <v>13967</v>
      </c>
      <c r="M47" s="57">
        <f t="shared" si="3"/>
        <v>0.12032737454232177</v>
      </c>
    </row>
    <row r="48" spans="4:13" x14ac:dyDescent="0.25">
      <c r="K48" s="55" t="s">
        <v>21</v>
      </c>
      <c r="L48" s="22">
        <f>G5</f>
        <v>5607</v>
      </c>
      <c r="M48" s="57">
        <f t="shared" si="3"/>
        <v>4.8304975231531336E-2</v>
      </c>
    </row>
    <row r="49" spans="12:12" x14ac:dyDescent="0.25">
      <c r="L49" s="5"/>
    </row>
  </sheetData>
  <sortState ref="K38:L48">
    <sortCondition ref="K38:K48"/>
  </sortState>
  <mergeCells count="1">
    <mergeCell ref="E22:F2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Folha1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Ribeiro</dc:creator>
  <cp:lastModifiedBy>Jorge Ribeiro</cp:lastModifiedBy>
  <dcterms:created xsi:type="dcterms:W3CDTF">2024-10-02T21:17:26Z</dcterms:created>
  <dcterms:modified xsi:type="dcterms:W3CDTF">2024-10-06T00:59:56Z</dcterms:modified>
</cp:coreProperties>
</file>